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yliedonnell/Documents/real estate finance /"/>
    </mc:Choice>
  </mc:AlternateContent>
  <xr:revisionPtr revIDLastSave="0" documentId="13_ncr:1_{5E67F6A3-EA5B-6D46-A289-8BCB6EB49FE9}" xr6:coauthVersionLast="47" xr6:coauthVersionMax="47" xr10:uidLastSave="{00000000-0000-0000-0000-000000000000}"/>
  <bookViews>
    <workbookView xWindow="0" yWindow="740" windowWidth="29400" windowHeight="17080" xr2:uid="{793168CF-7D61-9140-B9C9-FB5993802D2D}"/>
  </bookViews>
  <sheets>
    <sheet name="Pro Forma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1" l="1"/>
  <c r="D25" i="11"/>
  <c r="E25" i="11" s="1"/>
  <c r="F25" i="11"/>
  <c r="G25" i="11"/>
  <c r="H25" i="11"/>
  <c r="D24" i="11"/>
  <c r="E24" i="11" s="1"/>
  <c r="F24" i="11" s="1"/>
  <c r="G24" i="11" s="1"/>
  <c r="H24" i="11" s="1"/>
  <c r="J14" i="11"/>
  <c r="G26" i="11" s="1"/>
  <c r="H26" i="11" s="1"/>
  <c r="B18" i="11"/>
  <c r="B17" i="11"/>
  <c r="B3" i="11"/>
  <c r="C11" i="11"/>
  <c r="B4" i="11" s="1"/>
  <c r="C13" i="11" s="1"/>
  <c r="B2" i="11"/>
  <c r="B43" i="11" s="1"/>
  <c r="M4" i="11"/>
  <c r="J12" i="11"/>
  <c r="C25" i="11" s="1"/>
  <c r="J13" i="11"/>
  <c r="C26" i="11" s="1"/>
  <c r="D26" i="11" s="1"/>
  <c r="E26" i="11" s="1"/>
  <c r="F26" i="11" s="1"/>
  <c r="J11" i="11"/>
  <c r="C24" i="11" s="1"/>
  <c r="F14" i="11"/>
  <c r="G7" i="11" s="1"/>
  <c r="G56" i="11" s="1"/>
  <c r="M15" i="11"/>
  <c r="C31" i="11" s="1"/>
  <c r="D31" i="11" s="1"/>
  <c r="E31" i="11" l="1"/>
  <c r="D30" i="11"/>
  <c r="C30" i="11"/>
  <c r="C35" i="11" s="1"/>
  <c r="C51" i="11"/>
  <c r="B5" i="11"/>
  <c r="B42" i="11" s="1"/>
  <c r="C27" i="11"/>
  <c r="F31" i="11" l="1"/>
  <c r="E30" i="11"/>
  <c r="C28" i="11"/>
  <c r="C29" i="11" s="1"/>
  <c r="C32" i="11" s="1"/>
  <c r="C33" i="11" s="1"/>
  <c r="C36" i="11" s="1"/>
  <c r="E27" i="11"/>
  <c r="D27" i="11"/>
  <c r="G40" i="11"/>
  <c r="C40" i="11"/>
  <c r="D40" i="11"/>
  <c r="E40" i="11"/>
  <c r="F40" i="11"/>
  <c r="G31" i="11" l="1"/>
  <c r="F30" i="11"/>
  <c r="D28" i="11"/>
  <c r="D29" i="11" s="1"/>
  <c r="D32" i="11" s="1"/>
  <c r="D33" i="11" s="1"/>
  <c r="D36" i="11" s="1"/>
  <c r="E28" i="11"/>
  <c r="E29" i="11" s="1"/>
  <c r="E32" i="11" s="1"/>
  <c r="E33" i="11" s="1"/>
  <c r="C37" i="11"/>
  <c r="F27" i="11"/>
  <c r="H31" i="11" l="1"/>
  <c r="H30" i="11" s="1"/>
  <c r="G30" i="11"/>
  <c r="D35" i="11"/>
  <c r="D37" i="11"/>
  <c r="F28" i="11"/>
  <c r="F29" i="11" s="1"/>
  <c r="F32" i="11" s="1"/>
  <c r="F33" i="11" s="1"/>
  <c r="C38" i="11"/>
  <c r="C39" i="11" s="1"/>
  <c r="H55" i="11" s="1"/>
  <c r="E37" i="11"/>
  <c r="G27" i="11"/>
  <c r="D38" i="11" l="1"/>
  <c r="D39" i="11" s="1"/>
  <c r="I55" i="11" s="1"/>
  <c r="C41" i="11"/>
  <c r="H58" i="11" s="1"/>
  <c r="G6" i="11"/>
  <c r="C47" i="11" s="1"/>
  <c r="G28" i="11"/>
  <c r="G29" i="11" s="1"/>
  <c r="G32" i="11" s="1"/>
  <c r="G33" i="11" s="1"/>
  <c r="C43" i="11"/>
  <c r="E36" i="11"/>
  <c r="E35" i="11"/>
  <c r="H27" i="11"/>
  <c r="F37" i="11"/>
  <c r="F35" i="11"/>
  <c r="F36" i="11"/>
  <c r="G59" i="11" l="1"/>
  <c r="H28" i="11"/>
  <c r="H29" i="11" s="1"/>
  <c r="C42" i="11"/>
  <c r="D43" i="11"/>
  <c r="D41" i="11"/>
  <c r="I58" i="11" s="1"/>
  <c r="E38" i="11"/>
  <c r="E39" i="11" s="1"/>
  <c r="E41" i="11" s="1"/>
  <c r="G37" i="11"/>
  <c r="F38" i="11"/>
  <c r="F39" i="11" s="1"/>
  <c r="D42" i="11" l="1"/>
  <c r="J55" i="11"/>
  <c r="E43" i="11"/>
  <c r="G36" i="11"/>
  <c r="G35" i="11"/>
  <c r="H32" i="11"/>
  <c r="H33" i="11" s="1"/>
  <c r="F43" i="11"/>
  <c r="F41" i="11"/>
  <c r="K55" i="11"/>
  <c r="E42" i="11"/>
  <c r="J58" i="11"/>
  <c r="G38" i="11" l="1"/>
  <c r="G39" i="11" s="1"/>
  <c r="F42" i="11"/>
  <c r="K58" i="11"/>
  <c r="H35" i="11"/>
  <c r="H36" i="11"/>
  <c r="H37" i="11"/>
  <c r="L55" i="11" l="1"/>
  <c r="G41" i="11"/>
  <c r="L58" i="11" s="1"/>
  <c r="H38" i="11"/>
  <c r="H39" i="11" s="1"/>
  <c r="C48" i="11" s="1"/>
  <c r="G60" i="11" l="1"/>
  <c r="C49" i="11"/>
  <c r="G43" i="11" s="1"/>
  <c r="G48" i="11" s="1"/>
  <c r="G63" i="11" s="1"/>
  <c r="C50" i="11"/>
  <c r="C52" i="11" l="1"/>
  <c r="G61" i="11" l="1"/>
  <c r="G42" i="11"/>
  <c r="G47" i="11" s="1"/>
  <c r="G62" i="11" s="1"/>
</calcChain>
</file>

<file path=xl/sharedStrings.xml><?xml version="1.0" encoding="utf-8"?>
<sst xmlns="http://schemas.openxmlformats.org/spreadsheetml/2006/main" count="94" uniqueCount="90">
  <si>
    <t>Interest Rate</t>
  </si>
  <si>
    <t xml:space="preserve">Term </t>
  </si>
  <si>
    <t>Vacancy &amp; Loss</t>
  </si>
  <si>
    <t xml:space="preserve">Operating Expenses </t>
  </si>
  <si>
    <t>EGI</t>
  </si>
  <si>
    <t>NOI</t>
  </si>
  <si>
    <t xml:space="preserve">Purchase Price </t>
  </si>
  <si>
    <t xml:space="preserve">V/L </t>
  </si>
  <si>
    <t>Year 1</t>
  </si>
  <si>
    <t xml:space="preserve">Debt </t>
  </si>
  <si>
    <t xml:space="preserve">Initial Investment </t>
  </si>
  <si>
    <t>LTV</t>
  </si>
  <si>
    <t>Rent Roll</t>
  </si>
  <si>
    <t>Total PGI</t>
  </si>
  <si>
    <t>Annual Cash Flow</t>
  </si>
  <si>
    <t xml:space="preserve">Period </t>
  </si>
  <si>
    <t>BTCF</t>
  </si>
  <si>
    <t>Levered BTCF</t>
  </si>
  <si>
    <t>Unlevered BTCF</t>
  </si>
  <si>
    <t>Selling Costs</t>
  </si>
  <si>
    <t xml:space="preserve">Debt Retirement </t>
  </si>
  <si>
    <t xml:space="preserve">Expenses </t>
  </si>
  <si>
    <t xml:space="preserve">Loan Costs </t>
  </si>
  <si>
    <t xml:space="preserve">Lender Costs </t>
  </si>
  <si>
    <t xml:space="preserve">Hold Period </t>
  </si>
  <si>
    <t xml:space="preserve">    Management </t>
  </si>
  <si>
    <t xml:space="preserve">Janitorial </t>
  </si>
  <si>
    <t xml:space="preserve">Insurance </t>
  </si>
  <si>
    <t>Total</t>
  </si>
  <si>
    <t xml:space="preserve">Disposition Information </t>
  </si>
  <si>
    <t xml:space="preserve">Property Information </t>
  </si>
  <si>
    <t xml:space="preserve">Total Expenses </t>
  </si>
  <si>
    <t>Terminal Cap Rate</t>
  </si>
  <si>
    <t>Levered IRR</t>
  </si>
  <si>
    <t>Unlevered IRR</t>
  </si>
  <si>
    <t xml:space="preserve">Rent Increase </t>
  </si>
  <si>
    <t>Purchase</t>
  </si>
  <si>
    <t xml:space="preserve">Loan </t>
  </si>
  <si>
    <t>Annual Payment</t>
  </si>
  <si>
    <t>CPI</t>
  </si>
  <si>
    <t xml:space="preserve">Base Rent </t>
  </si>
  <si>
    <t xml:space="preserve">Utilities </t>
  </si>
  <si>
    <t>SF</t>
  </si>
  <si>
    <t xml:space="preserve">Expense Recovery </t>
  </si>
  <si>
    <t xml:space="preserve">Selling Costs </t>
  </si>
  <si>
    <t xml:space="preserve">Net Value </t>
  </si>
  <si>
    <t>Management Fee (% of EGI)</t>
  </si>
  <si>
    <t xml:space="preserve">Building Efficiency </t>
  </si>
  <si>
    <t>Rate</t>
  </si>
  <si>
    <t>Yrs Left</t>
  </si>
  <si>
    <t>Exp. Stop/SF</t>
  </si>
  <si>
    <t xml:space="preserve">3rd </t>
  </si>
  <si>
    <t xml:space="preserve">Total Rentable </t>
  </si>
  <si>
    <t xml:space="preserve">CPI Adjustment </t>
  </si>
  <si>
    <t xml:space="preserve">Annual Increase </t>
  </si>
  <si>
    <t xml:space="preserve">    2nd Floor</t>
  </si>
  <si>
    <t xml:space="preserve">    3rd Floor</t>
  </si>
  <si>
    <t xml:space="preserve">    OpEx</t>
  </si>
  <si>
    <t xml:space="preserve">Sale Price </t>
  </si>
  <si>
    <t xml:space="preserve">Commissions </t>
  </si>
  <si>
    <t xml:space="preserve">Return Summary </t>
  </si>
  <si>
    <t>Project the net operating income (NOI) for the next five years.</t>
  </si>
  <si>
    <t>What is the building efficiency?</t>
  </si>
  <si>
    <t>How much does the NOI increase (average compound rate) over the five years?</t>
  </si>
  <si>
    <t>What is the BTCF each year?</t>
  </si>
  <si>
    <t>What is the overall capitalization rate (“going-in” rate)?</t>
  </si>
  <si>
    <t>What is the sale price at the end of year five?</t>
  </si>
  <si>
    <t>What is the reversion value after sale?</t>
  </si>
  <si>
    <t>What is the levered IRR?</t>
  </si>
  <si>
    <t>What is the unlevered IRR?</t>
  </si>
  <si>
    <t>With a 12% discount rate is this a worthwhile investment?</t>
  </si>
  <si>
    <t xml:space="preserve">yrs </t>
  </si>
  <si>
    <t xml:space="preserve">Year 1 Market Rent </t>
  </si>
  <si>
    <t xml:space="preserve">Commision Costs </t>
  </si>
  <si>
    <t xml:space="preserve">Terminal Cap Adjusts </t>
  </si>
  <si>
    <t>Total Building Area (SF)</t>
  </si>
  <si>
    <t xml:space="preserve">Amort Period </t>
  </si>
  <si>
    <t xml:space="preserve">    1st Floor</t>
  </si>
  <si>
    <t xml:space="preserve">    2nd Floor </t>
  </si>
  <si>
    <t xml:space="preserve">Total Exp Recovery </t>
  </si>
  <si>
    <t xml:space="preserve">Debt Services </t>
  </si>
  <si>
    <t>Sale Proceeds Before Tax</t>
  </si>
  <si>
    <t xml:space="preserve">Floor </t>
  </si>
  <si>
    <t xml:space="preserve">1st </t>
  </si>
  <si>
    <t xml:space="preserve">2nd </t>
  </si>
  <si>
    <t xml:space="preserve">Property Taxes </t>
  </si>
  <si>
    <t>Maintenance</t>
  </si>
  <si>
    <t xml:space="preserve">Going-in Cap Rate </t>
  </si>
  <si>
    <t>Year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</si>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</sst>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sz val="16"/>
      <color rgb="FF2D3B45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0" fontId="0" fillId="0" borderId="1" xfId="0" applyNumberFormat="1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10" xfId="1" applyNumberFormat="1" applyFont="1" applyBorder="1"/>
    <xf numFmtId="164" fontId="0" fillId="0" borderId="10" xfId="0" applyNumberFormat="1" applyBorder="1"/>
    <xf numFmtId="6" fontId="0" fillId="0" borderId="12" xfId="0" applyNumberFormat="1" applyBorder="1"/>
    <xf numFmtId="6" fontId="0" fillId="0" borderId="10" xfId="0" applyNumberFormat="1" applyBorder="1"/>
    <xf numFmtId="10" fontId="0" fillId="0" borderId="12" xfId="2" applyNumberFormat="1" applyFont="1" applyBorder="1"/>
    <xf numFmtId="0" fontId="0" fillId="0" borderId="10" xfId="0" applyBorder="1" applyAlignment="1">
      <alignment horizontal="center"/>
    </xf>
    <xf numFmtId="10" fontId="0" fillId="0" borderId="10" xfId="0" applyNumberFormat="1" applyBorder="1"/>
    <xf numFmtId="0" fontId="0" fillId="0" borderId="23" xfId="0" applyBorder="1"/>
    <xf numFmtId="0" fontId="0" fillId="3" borderId="4" xfId="0" applyFill="1" applyBorder="1"/>
    <xf numFmtId="44" fontId="0" fillId="0" borderId="1" xfId="1" applyFont="1" applyBorder="1"/>
    <xf numFmtId="0" fontId="0" fillId="3" borderId="1" xfId="0" applyFill="1" applyBorder="1"/>
    <xf numFmtId="0" fontId="0" fillId="0" borderId="24" xfId="0" applyBorder="1"/>
    <xf numFmtId="0" fontId="0" fillId="3" borderId="23" xfId="0" applyFill="1" applyBorder="1"/>
    <xf numFmtId="44" fontId="0" fillId="0" borderId="23" xfId="1" applyFont="1" applyBorder="1"/>
    <xf numFmtId="44" fontId="0" fillId="0" borderId="1" xfId="0" applyNumberFormat="1" applyBorder="1"/>
    <xf numFmtId="164" fontId="0" fillId="0" borderId="24" xfId="1" applyNumberFormat="1" applyFont="1" applyBorder="1"/>
    <xf numFmtId="164" fontId="2" fillId="0" borderId="24" xfId="1" applyNumberFormat="1" applyFont="1" applyBorder="1"/>
    <xf numFmtId="164" fontId="0" fillId="0" borderId="0" xfId="1" applyNumberFormat="1" applyFont="1" applyBorder="1"/>
    <xf numFmtId="164" fontId="2" fillId="0" borderId="0" xfId="0" applyNumberFormat="1" applyFont="1"/>
    <xf numFmtId="0" fontId="0" fillId="3" borderId="13" xfId="0" applyFill="1" applyBorder="1"/>
    <xf numFmtId="3" fontId="0" fillId="0" borderId="1" xfId="0" applyNumberFormat="1" applyBorder="1"/>
    <xf numFmtId="3" fontId="0" fillId="0" borderId="23" xfId="0" applyNumberFormat="1" applyBorder="1"/>
    <xf numFmtId="0" fontId="0" fillId="3" borderId="5" xfId="0" applyFill="1" applyBorder="1"/>
    <xf numFmtId="0" fontId="0" fillId="3" borderId="26" xfId="0" applyFill="1" applyBorder="1"/>
    <xf numFmtId="0" fontId="0" fillId="0" borderId="27" xfId="0" applyBorder="1"/>
    <xf numFmtId="9" fontId="0" fillId="0" borderId="1" xfId="0" applyNumberFormat="1" applyBorder="1"/>
    <xf numFmtId="6" fontId="0" fillId="0" borderId="0" xfId="0" applyNumberFormat="1"/>
    <xf numFmtId="9" fontId="0" fillId="0" borderId="1" xfId="2" applyFont="1" applyFill="1" applyBorder="1"/>
    <xf numFmtId="9" fontId="0" fillId="0" borderId="0" xfId="0" applyNumberFormat="1"/>
    <xf numFmtId="0" fontId="3" fillId="2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4" xfId="0" applyFill="1" applyBorder="1"/>
    <xf numFmtId="0" fontId="0" fillId="3" borderId="11" xfId="0" applyFill="1" applyBorder="1"/>
    <xf numFmtId="0" fontId="0" fillId="0" borderId="10" xfId="2" applyNumberFormat="1" applyFont="1" applyFill="1" applyBorder="1"/>
    <xf numFmtId="165" fontId="0" fillId="0" borderId="10" xfId="2" applyNumberFormat="1" applyFont="1" applyFill="1" applyBorder="1"/>
    <xf numFmtId="10" fontId="0" fillId="0" borderId="15" xfId="2" applyNumberFormat="1" applyFont="1" applyFill="1" applyBorder="1"/>
    <xf numFmtId="0" fontId="0" fillId="3" borderId="22" xfId="0" applyFill="1" applyBorder="1"/>
    <xf numFmtId="0" fontId="3" fillId="2" borderId="31" xfId="0" applyFont="1" applyFill="1" applyBorder="1"/>
    <xf numFmtId="0" fontId="3" fillId="2" borderId="33" xfId="0" applyFont="1" applyFill="1" applyBorder="1"/>
    <xf numFmtId="164" fontId="0" fillId="0" borderId="15" xfId="1" applyNumberFormat="1" applyFont="1" applyBorder="1"/>
    <xf numFmtId="6" fontId="0" fillId="0" borderId="10" xfId="1" applyNumberFormat="1" applyFont="1" applyBorder="1"/>
    <xf numFmtId="164" fontId="0" fillId="0" borderId="12" xfId="1" applyNumberFormat="1" applyFont="1" applyBorder="1"/>
    <xf numFmtId="3" fontId="0" fillId="0" borderId="10" xfId="0" applyNumberFormat="1" applyBorder="1"/>
    <xf numFmtId="9" fontId="0" fillId="0" borderId="10" xfId="0" applyNumberFormat="1" applyBorder="1"/>
    <xf numFmtId="167" fontId="0" fillId="0" borderId="12" xfId="0" applyNumberFormat="1" applyBorder="1"/>
    <xf numFmtId="0" fontId="0" fillId="3" borderId="9" xfId="0" applyFill="1" applyBorder="1" applyAlignment="1">
      <alignment horizontal="center"/>
    </xf>
    <xf numFmtId="0" fontId="0" fillId="3" borderId="35" xfId="0" applyFill="1" applyBorder="1"/>
    <xf numFmtId="0" fontId="0" fillId="3" borderId="19" xfId="0" applyFill="1" applyBorder="1"/>
    <xf numFmtId="166" fontId="0" fillId="0" borderId="20" xfId="3" applyNumberFormat="1" applyFont="1" applyBorder="1"/>
    <xf numFmtId="164" fontId="0" fillId="0" borderId="39" xfId="1" applyNumberFormat="1" applyFont="1" applyBorder="1"/>
    <xf numFmtId="0" fontId="0" fillId="3" borderId="40" xfId="0" applyFill="1" applyBorder="1"/>
    <xf numFmtId="164" fontId="0" fillId="0" borderId="41" xfId="1" applyNumberFormat="1" applyFont="1" applyBorder="1"/>
    <xf numFmtId="9" fontId="0" fillId="0" borderId="12" xfId="0" applyNumberFormat="1" applyBorder="1"/>
    <xf numFmtId="0" fontId="0" fillId="3" borderId="11" xfId="0" applyFill="1" applyBorder="1" applyAlignment="1">
      <alignment horizontal="center"/>
    </xf>
    <xf numFmtId="44" fontId="0" fillId="0" borderId="24" xfId="1" applyFont="1" applyBorder="1"/>
    <xf numFmtId="44" fontId="4" fillId="0" borderId="0" xfId="1" applyFont="1" applyBorder="1"/>
    <xf numFmtId="10" fontId="0" fillId="0" borderId="12" xfId="0" applyNumberFormat="1" applyBorder="1"/>
    <xf numFmtId="10" fontId="0" fillId="0" borderId="10" xfId="2" applyNumberFormat="1" applyFont="1" applyBorder="1"/>
    <xf numFmtId="44" fontId="0" fillId="0" borderId="21" xfId="1" applyFont="1" applyBorder="1"/>
    <xf numFmtId="164" fontId="0" fillId="0" borderId="27" xfId="0" applyNumberFormat="1" applyBorder="1"/>
    <xf numFmtId="164" fontId="0" fillId="0" borderId="12" xfId="0" applyNumberFormat="1" applyBorder="1"/>
    <xf numFmtId="164" fontId="2" fillId="0" borderId="0" xfId="1" applyNumberFormat="1" applyFont="1" applyBorder="1"/>
    <xf numFmtId="164" fontId="2" fillId="0" borderId="24" xfId="0" applyNumberFormat="1" applyFont="1" applyBorder="1"/>
    <xf numFmtId="10" fontId="0" fillId="0" borderId="1" xfId="2" applyNumberFormat="1" applyFont="1" applyBorder="1"/>
    <xf numFmtId="0" fontId="3" fillId="2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3" borderId="9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6" xfId="0" applyFill="1" applyBorder="1"/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3" borderId="17" xfId="0" applyFill="1" applyBorder="1"/>
    <xf numFmtId="0" fontId="0" fillId="3" borderId="28" xfId="0" applyFill="1" applyBorder="1"/>
    <xf numFmtId="0" fontId="0" fillId="3" borderId="22" xfId="0" applyFill="1" applyBorder="1"/>
    <xf numFmtId="0" fontId="0" fillId="3" borderId="13" xfId="0" applyFill="1" applyBorder="1"/>
    <xf numFmtId="0" fontId="0" fillId="3" borderId="34" xfId="0" applyFill="1" applyBorder="1"/>
    <xf numFmtId="0" fontId="0" fillId="3" borderId="25" xfId="0" applyFill="1" applyBorder="1"/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76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831CB-3273-C844-A1E4-35B7599690DC}">
  <dimension ref="A1:M64"/>
  <sheetViews>
    <sheetView tabSelected="1" zoomScaleNormal="106" workbookViewId="0">
      <selection activeCell="J51" sqref="J51"/>
    </sheetView>
  </sheetViews>
  <sheetFormatPr baseColWidth="10" defaultRowHeight="16" x14ac:dyDescent="0.2"/>
  <cols>
    <col min="1" max="1" width="19.1640625" bestFit="1" customWidth="1"/>
    <col min="2" max="2" width="13.6640625" bestFit="1" customWidth="1"/>
    <col min="3" max="3" width="15.6640625" bestFit="1" customWidth="1"/>
    <col min="4" max="4" width="21" bestFit="1" customWidth="1"/>
    <col min="5" max="5" width="19" customWidth="1"/>
    <col min="6" max="6" width="14.6640625" customWidth="1"/>
    <col min="7" max="7" width="15.83203125" bestFit="1" customWidth="1"/>
    <col min="8" max="8" width="14.6640625" customWidth="1"/>
    <col min="9" max="9" width="13.1640625" bestFit="1" customWidth="1"/>
    <col min="10" max="10" width="14.83203125" bestFit="1" customWidth="1"/>
    <col min="11" max="11" width="14.1640625" bestFit="1" customWidth="1"/>
    <col min="12" max="12" width="14.5" customWidth="1"/>
    <col min="13" max="13" width="12.6640625" bestFit="1" customWidth="1"/>
  </cols>
  <sheetData>
    <row r="1" spans="1:13" ht="17" thickBot="1" x14ac:dyDescent="0.25">
      <c r="A1" s="50" t="s">
        <v>36</v>
      </c>
      <c r="B1" s="51" t="s">
        <v>8</v>
      </c>
      <c r="E1" s="77" t="s">
        <v>30</v>
      </c>
      <c r="F1" s="78"/>
      <c r="G1" s="79"/>
      <c r="L1" s="77" t="s">
        <v>35</v>
      </c>
      <c r="M1" s="79"/>
    </row>
    <row r="2" spans="1:13" x14ac:dyDescent="0.2">
      <c r="A2" s="44" t="s">
        <v>6</v>
      </c>
      <c r="B2" s="52">
        <f>G2</f>
        <v>17150000</v>
      </c>
      <c r="E2" s="42" t="s">
        <v>6</v>
      </c>
      <c r="F2" s="20"/>
      <c r="G2" s="10">
        <v>17150000</v>
      </c>
      <c r="L2" s="42" t="s">
        <v>39</v>
      </c>
      <c r="M2" s="56">
        <v>0.35</v>
      </c>
    </row>
    <row r="3" spans="1:13" x14ac:dyDescent="0.2">
      <c r="A3" s="42" t="s">
        <v>22</v>
      </c>
      <c r="B3" s="53">
        <f>C12</f>
        <v>0</v>
      </c>
      <c r="E3" s="42" t="s">
        <v>75</v>
      </c>
      <c r="F3" s="20"/>
      <c r="G3" s="55">
        <v>61000</v>
      </c>
      <c r="L3" s="42" t="s">
        <v>53</v>
      </c>
      <c r="M3" s="16">
        <v>3.5000000000000003E-2</v>
      </c>
    </row>
    <row r="4" spans="1:13" ht="17" thickBot="1" x14ac:dyDescent="0.25">
      <c r="A4" s="42" t="s">
        <v>9</v>
      </c>
      <c r="B4" s="10">
        <f>C11</f>
        <v>11147500</v>
      </c>
      <c r="E4" s="42" t="s">
        <v>46</v>
      </c>
      <c r="F4" s="20"/>
      <c r="G4" s="56">
        <v>0.04</v>
      </c>
      <c r="H4" s="38"/>
      <c r="L4" s="45" t="s">
        <v>54</v>
      </c>
      <c r="M4" s="57">
        <f>M2*M3</f>
        <v>1.225E-2</v>
      </c>
    </row>
    <row r="5" spans="1:13" ht="17" thickBot="1" x14ac:dyDescent="0.25">
      <c r="A5" s="45" t="s">
        <v>10</v>
      </c>
      <c r="B5" s="54">
        <f>B2+B3-B4</f>
        <v>6002500</v>
      </c>
      <c r="E5" s="80" t="s">
        <v>2</v>
      </c>
      <c r="F5" s="81"/>
      <c r="G5" s="56">
        <v>0.08</v>
      </c>
    </row>
    <row r="6" spans="1:13" ht="17" thickBot="1" x14ac:dyDescent="0.25">
      <c r="E6" s="80" t="s">
        <v>87</v>
      </c>
      <c r="F6" s="81"/>
      <c r="G6" s="70">
        <f>C39/G2</f>
        <v>4.5554985422740522E-2</v>
      </c>
    </row>
    <row r="7" spans="1:13" ht="17" thickBot="1" x14ac:dyDescent="0.25">
      <c r="A7" s="84" t="s">
        <v>37</v>
      </c>
      <c r="B7" s="85"/>
      <c r="C7" s="86"/>
      <c r="E7" s="82" t="s">
        <v>47</v>
      </c>
      <c r="F7" s="83"/>
      <c r="G7" s="14">
        <f>F14/61000</f>
        <v>0.98360655737704916</v>
      </c>
    </row>
    <row r="8" spans="1:13" ht="17" thickBot="1" x14ac:dyDescent="0.25">
      <c r="A8" s="89" t="s">
        <v>0</v>
      </c>
      <c r="B8" s="90"/>
      <c r="C8" s="48">
        <v>4.5499999999999999E-2</v>
      </c>
    </row>
    <row r="9" spans="1:13" x14ac:dyDescent="0.2">
      <c r="A9" s="91" t="s">
        <v>76</v>
      </c>
      <c r="B9" s="92"/>
      <c r="C9" s="8">
        <v>25</v>
      </c>
      <c r="E9" s="39" t="s">
        <v>12</v>
      </c>
      <c r="F9" s="40"/>
      <c r="G9" s="40"/>
      <c r="H9" s="40"/>
      <c r="I9" s="40"/>
      <c r="J9" s="41"/>
      <c r="L9" s="77" t="s">
        <v>3</v>
      </c>
      <c r="M9" s="79"/>
    </row>
    <row r="10" spans="1:13" x14ac:dyDescent="0.2">
      <c r="A10" s="49" t="s">
        <v>1</v>
      </c>
      <c r="B10" s="29"/>
      <c r="C10" s="8">
        <v>25</v>
      </c>
      <c r="E10" s="58" t="s">
        <v>82</v>
      </c>
      <c r="F10" s="2" t="s">
        <v>42</v>
      </c>
      <c r="G10" s="2" t="s">
        <v>48</v>
      </c>
      <c r="H10" s="2" t="s">
        <v>49</v>
      </c>
      <c r="I10" s="2" t="s">
        <v>50</v>
      </c>
      <c r="J10" s="15" t="s">
        <v>40</v>
      </c>
      <c r="L10" s="42" t="s">
        <v>85</v>
      </c>
      <c r="M10" s="10">
        <v>120115</v>
      </c>
    </row>
    <row r="11" spans="1:13" x14ac:dyDescent="0.2">
      <c r="A11" s="42" t="s">
        <v>11</v>
      </c>
      <c r="B11" s="37">
        <v>0.65</v>
      </c>
      <c r="C11" s="11">
        <f>B11*G2</f>
        <v>11147500</v>
      </c>
      <c r="E11" s="42" t="s">
        <v>83</v>
      </c>
      <c r="F11" s="30">
        <v>19500</v>
      </c>
      <c r="G11" s="19">
        <v>18.649999999999999</v>
      </c>
      <c r="H11" s="1">
        <v>1</v>
      </c>
      <c r="I11" s="1">
        <v>5.75</v>
      </c>
      <c r="J11" s="10">
        <f>G11*F11</f>
        <v>363675</v>
      </c>
      <c r="L11" s="42" t="s">
        <v>27</v>
      </c>
      <c r="M11" s="10">
        <v>40320</v>
      </c>
    </row>
    <row r="12" spans="1:13" x14ac:dyDescent="0.2">
      <c r="A12" s="42" t="s">
        <v>23</v>
      </c>
      <c r="B12" s="1"/>
      <c r="C12" s="13">
        <v>0</v>
      </c>
      <c r="E12" s="42" t="s">
        <v>84</v>
      </c>
      <c r="F12" s="30">
        <v>20250</v>
      </c>
      <c r="G12" s="19">
        <v>18.55</v>
      </c>
      <c r="H12" s="1">
        <v>3</v>
      </c>
      <c r="I12" s="1">
        <v>6.05</v>
      </c>
      <c r="J12" s="10">
        <f t="shared" ref="J12:J13" si="0">G12*F12</f>
        <v>375637.5</v>
      </c>
      <c r="L12" s="42" t="s">
        <v>41</v>
      </c>
      <c r="M12" s="10">
        <v>95535</v>
      </c>
    </row>
    <row r="13" spans="1:13" ht="17" thickBot="1" x14ac:dyDescent="0.25">
      <c r="A13" s="93" t="s">
        <v>38</v>
      </c>
      <c r="B13" s="94"/>
      <c r="C13" s="12">
        <f>-PMT(C8/12,C9*12,-B4,0)*12</f>
        <v>-747338.61036682071</v>
      </c>
      <c r="E13" s="59" t="s">
        <v>51</v>
      </c>
      <c r="F13" s="31">
        <v>20250</v>
      </c>
      <c r="G13" s="23">
        <v>22.45</v>
      </c>
      <c r="H13" s="17">
        <v>4</v>
      </c>
      <c r="I13" s="17">
        <v>6.13</v>
      </c>
      <c r="J13" s="10">
        <f t="shared" si="0"/>
        <v>454612.5</v>
      </c>
      <c r="L13" s="42" t="s">
        <v>26</v>
      </c>
      <c r="M13" s="10">
        <v>63665</v>
      </c>
    </row>
    <row r="14" spans="1:13" ht="18" thickTop="1" thickBot="1" x14ac:dyDescent="0.25">
      <c r="C14" s="36"/>
      <c r="E14" s="60" t="s">
        <v>52</v>
      </c>
      <c r="F14" s="61">
        <f>SUM(F11:F13)</f>
        <v>60000</v>
      </c>
      <c r="G14" s="95" t="s">
        <v>72</v>
      </c>
      <c r="H14" s="96"/>
      <c r="I14" s="97"/>
      <c r="J14" s="71">
        <f>G13</f>
        <v>22.45</v>
      </c>
      <c r="L14" s="59" t="s">
        <v>86</v>
      </c>
      <c r="M14" s="62">
        <v>54295</v>
      </c>
    </row>
    <row r="15" spans="1:13" x14ac:dyDescent="0.2">
      <c r="A15" s="87" t="s">
        <v>29</v>
      </c>
      <c r="B15" s="88"/>
      <c r="L15" s="63" t="s">
        <v>28</v>
      </c>
      <c r="M15" s="64">
        <f>SUM(M10:M14)</f>
        <v>373930</v>
      </c>
    </row>
    <row r="16" spans="1:13" ht="17" thickBot="1" x14ac:dyDescent="0.25">
      <c r="A16" s="42" t="s">
        <v>24</v>
      </c>
      <c r="B16" s="46">
        <v>5</v>
      </c>
      <c r="C16" t="s">
        <v>71</v>
      </c>
      <c r="L16" s="66" t="s">
        <v>54</v>
      </c>
      <c r="M16" s="65">
        <v>0.03</v>
      </c>
    </row>
    <row r="17" spans="1:8" x14ac:dyDescent="0.2">
      <c r="A17" s="42" t="s">
        <v>44</v>
      </c>
      <c r="B17" s="47">
        <f>B49</f>
        <v>0.04</v>
      </c>
    </row>
    <row r="18" spans="1:8" x14ac:dyDescent="0.2">
      <c r="A18" s="42" t="s">
        <v>73</v>
      </c>
      <c r="B18" s="16">
        <f>B50</f>
        <v>5.2499999999999998E-2</v>
      </c>
    </row>
    <row r="19" spans="1:8" ht="17" thickBot="1" x14ac:dyDescent="0.25">
      <c r="A19" s="45" t="s">
        <v>74</v>
      </c>
      <c r="B19" s="69">
        <v>2.5000000000000001E-3</v>
      </c>
    </row>
    <row r="21" spans="1:8" ht="17" thickBot="1" x14ac:dyDescent="0.25"/>
    <row r="22" spans="1:8" x14ac:dyDescent="0.2">
      <c r="A22" s="77" t="s">
        <v>14</v>
      </c>
      <c r="B22" s="78"/>
      <c r="C22" s="78"/>
      <c r="D22" s="78"/>
      <c r="E22" s="78"/>
      <c r="F22" s="78"/>
      <c r="G22" s="78"/>
      <c r="H22" s="79"/>
    </row>
    <row r="23" spans="1:8" x14ac:dyDescent="0.2">
      <c r="A23" s="42" t="s">
        <v>15</v>
      </c>
      <c r="B23" s="20">
        <v>0</v>
      </c>
      <c r="C23" s="20">
        <v>1</v>
      </c>
      <c r="D23" s="20">
        <v>2</v>
      </c>
      <c r="E23" s="20">
        <v>3</v>
      </c>
      <c r="F23" s="20">
        <v>4</v>
      </c>
      <c r="G23" s="20">
        <v>5</v>
      </c>
      <c r="H23" s="43">
        <v>6</v>
      </c>
    </row>
    <row r="24" spans="1:8" x14ac:dyDescent="0.2">
      <c r="A24" s="44" t="s">
        <v>77</v>
      </c>
      <c r="C24" s="27">
        <f>J11</f>
        <v>363675</v>
      </c>
      <c r="D24" s="27">
        <f>IF(D23=$H$11+1,$F$11*($J$14*((1.035)^C23)),C24*(1+$M$4))</f>
        <v>453097.12499999994</v>
      </c>
      <c r="E24" s="27">
        <f t="shared" ref="E24:H24" si="1">IF(E23=$H$11+1,$F$11*($J$14*((1.035)^D23)),D24*(1+$M$4))</f>
        <v>458647.56478124997</v>
      </c>
      <c r="F24" s="27">
        <f t="shared" si="1"/>
        <v>464265.99744982034</v>
      </c>
      <c r="G24" s="27">
        <f t="shared" si="1"/>
        <v>469953.25591858069</v>
      </c>
      <c r="H24" s="27">
        <f t="shared" si="1"/>
        <v>475710.18330358336</v>
      </c>
    </row>
    <row r="25" spans="1:8" x14ac:dyDescent="0.2">
      <c r="A25" s="42" t="s">
        <v>78</v>
      </c>
      <c r="C25" s="27">
        <f>J12</f>
        <v>375637.5</v>
      </c>
      <c r="D25" s="27">
        <f>IF(D23=$H$12+1,$F$12*($J$14*((1.035)^C23)),C25*(1+$M$4))</f>
        <v>380239.05937500001</v>
      </c>
      <c r="E25" s="27">
        <f t="shared" ref="E25:H25" si="2">IF(E23=$H$12+1,$F$12*($J$14*((1.035)^D23)),D25*(1+$M$4))</f>
        <v>384896.98785234382</v>
      </c>
      <c r="F25" s="27">
        <f t="shared" si="2"/>
        <v>504037.00494843733</v>
      </c>
      <c r="G25" s="27">
        <f t="shared" si="2"/>
        <v>510211.45825905574</v>
      </c>
      <c r="H25" s="27">
        <f t="shared" si="2"/>
        <v>516461.5486227292</v>
      </c>
    </row>
    <row r="26" spans="1:8" ht="17" thickBot="1" x14ac:dyDescent="0.25">
      <c r="A26" s="59" t="s">
        <v>56</v>
      </c>
      <c r="B26" s="21"/>
      <c r="C26" s="25">
        <f>J13</f>
        <v>454612.5</v>
      </c>
      <c r="D26" s="25">
        <f>IF(D23=$H$13+1,$F$13*($J$14*((1.035)^C23)),C26*(1+$M$4))</f>
        <v>460181.50312500005</v>
      </c>
      <c r="E26" s="25">
        <f t="shared" ref="E26:H26" si="3">IF(E23=$H$13+1,$F$13*($J$14*((1.035)^D23)),D26*(1+$M$4))</f>
        <v>465818.72653828136</v>
      </c>
      <c r="F26" s="25">
        <f t="shared" si="3"/>
        <v>471525.00593837537</v>
      </c>
      <c r="G26" s="25">
        <f t="shared" si="3"/>
        <v>521678.3001216327</v>
      </c>
      <c r="H26" s="25">
        <f t="shared" si="3"/>
        <v>528068.8592981227</v>
      </c>
    </row>
    <row r="27" spans="1:8" ht="17" thickTop="1" x14ac:dyDescent="0.2">
      <c r="A27" s="32" t="s">
        <v>13</v>
      </c>
      <c r="C27" s="27">
        <f>SUM(C24:C26)</f>
        <v>1193925</v>
      </c>
      <c r="D27" s="27">
        <f t="shared" ref="D27:H27" si="4">SUM(D24:D26)</f>
        <v>1293517.6875</v>
      </c>
      <c r="E27" s="27">
        <f t="shared" si="4"/>
        <v>1309363.2791718752</v>
      </c>
      <c r="F27" s="27">
        <f t="shared" si="4"/>
        <v>1439828.008336633</v>
      </c>
      <c r="G27" s="27">
        <f t="shared" si="4"/>
        <v>1501843.0142992691</v>
      </c>
      <c r="H27" s="3">
        <f t="shared" si="4"/>
        <v>1520240.5912244353</v>
      </c>
    </row>
    <row r="28" spans="1:8" ht="17" thickBot="1" x14ac:dyDescent="0.25">
      <c r="A28" s="22" t="s">
        <v>7</v>
      </c>
      <c r="B28" s="21"/>
      <c r="C28" s="67">
        <f>-C27*IF(C23=$H$11+1,$G$5,IF(C23=$H$12+1,$G$5,IF(C23=$H$13+1,$G$5,0)))</f>
        <v>0</v>
      </c>
      <c r="D28" s="67">
        <f t="shared" ref="D28:H28" si="5">-D27*IF(D23=$H$11+1,$G$5,IF(D23=$H$12+1,$G$5,IF(D23=$H$13+1,$G$5,0)))</f>
        <v>-103481.41500000001</v>
      </c>
      <c r="E28" s="67">
        <f t="shared" si="5"/>
        <v>0</v>
      </c>
      <c r="F28" s="67">
        <f t="shared" si="5"/>
        <v>-115186.24066693064</v>
      </c>
      <c r="G28" s="67">
        <f t="shared" si="5"/>
        <v>-120147.44114394153</v>
      </c>
      <c r="H28" s="67">
        <f t="shared" si="5"/>
        <v>0</v>
      </c>
    </row>
    <row r="29" spans="1:8" ht="17" thickTop="1" x14ac:dyDescent="0.2">
      <c r="A29" s="18" t="s">
        <v>4</v>
      </c>
      <c r="C29" s="27">
        <f t="shared" ref="C29:H29" si="6">SUM(C27,C28)</f>
        <v>1193925</v>
      </c>
      <c r="D29" s="27">
        <f t="shared" si="6"/>
        <v>1190036.2725</v>
      </c>
      <c r="E29" s="27">
        <f t="shared" si="6"/>
        <v>1309363.2791718752</v>
      </c>
      <c r="F29" s="27">
        <f t="shared" si="6"/>
        <v>1324641.7676697024</v>
      </c>
      <c r="G29" s="27">
        <f t="shared" si="6"/>
        <v>1381695.5731553275</v>
      </c>
      <c r="H29" s="27">
        <f t="shared" si="6"/>
        <v>1520240.5912244353</v>
      </c>
    </row>
    <row r="30" spans="1:8" x14ac:dyDescent="0.2">
      <c r="A30" s="20" t="s">
        <v>21</v>
      </c>
      <c r="C30" s="68">
        <f>-C31/61000</f>
        <v>6.13</v>
      </c>
      <c r="D30" s="68">
        <f t="shared" ref="D30:H30" si="7">-D31/61000</f>
        <v>6.3139000000000003</v>
      </c>
      <c r="E30" s="68">
        <f t="shared" si="7"/>
        <v>6.5033170000000009</v>
      </c>
      <c r="F30" s="68">
        <f t="shared" si="7"/>
        <v>6.6984165100000013</v>
      </c>
      <c r="G30" s="68">
        <f t="shared" si="7"/>
        <v>6.8993690053000014</v>
      </c>
      <c r="H30" s="68">
        <f t="shared" si="7"/>
        <v>7.1063500754590017</v>
      </c>
    </row>
    <row r="31" spans="1:8" x14ac:dyDescent="0.2">
      <c r="A31" s="20" t="s">
        <v>57</v>
      </c>
      <c r="C31" s="74">
        <f>-M15</f>
        <v>-373930</v>
      </c>
      <c r="D31" s="74">
        <f>C31*(1+$M$16)</f>
        <v>-385147.9</v>
      </c>
      <c r="E31" s="74">
        <f t="shared" ref="E31:H31" si="8">D31*(1+$M$16)</f>
        <v>-396702.33700000006</v>
      </c>
      <c r="F31" s="74">
        <f t="shared" si="8"/>
        <v>-408603.40711000009</v>
      </c>
      <c r="G31" s="74">
        <f t="shared" si="8"/>
        <v>-420861.5093233001</v>
      </c>
      <c r="H31" s="74">
        <f t="shared" si="8"/>
        <v>-433487.35460299911</v>
      </c>
    </row>
    <row r="32" spans="1:8" ht="17" thickBot="1" x14ac:dyDescent="0.25">
      <c r="A32" s="22" t="s">
        <v>25</v>
      </c>
      <c r="B32" s="21"/>
      <c r="C32" s="26">
        <f>-$G$4*C29</f>
        <v>-47757</v>
      </c>
      <c r="D32" s="26">
        <f t="shared" ref="D32:H32" si="9">-$G$4*D29</f>
        <v>-47601.450899999996</v>
      </c>
      <c r="E32" s="26">
        <f t="shared" si="9"/>
        <v>-52374.531166875007</v>
      </c>
      <c r="F32" s="26">
        <f t="shared" si="9"/>
        <v>-52985.6707067881</v>
      </c>
      <c r="G32" s="26">
        <f t="shared" si="9"/>
        <v>-55267.822926213099</v>
      </c>
      <c r="H32" s="26">
        <f t="shared" si="9"/>
        <v>-60809.623648977409</v>
      </c>
    </row>
    <row r="33" spans="1:8" ht="17" thickTop="1" x14ac:dyDescent="0.2">
      <c r="A33" s="18" t="s">
        <v>31</v>
      </c>
      <c r="C33" s="74">
        <f>SUM(C31:C32)</f>
        <v>-421687</v>
      </c>
      <c r="D33" s="74">
        <f t="shared" ref="D33:H33" si="10">SUM(D31:D32)</f>
        <v>-432749.35090000002</v>
      </c>
      <c r="E33" s="74">
        <f t="shared" si="10"/>
        <v>-449076.86816687509</v>
      </c>
      <c r="F33" s="74">
        <f t="shared" si="10"/>
        <v>-461589.07781678817</v>
      </c>
      <c r="G33" s="74">
        <f t="shared" si="10"/>
        <v>-476129.33224951319</v>
      </c>
      <c r="H33" s="74">
        <f t="shared" si="10"/>
        <v>-494296.97825197654</v>
      </c>
    </row>
    <row r="34" spans="1:8" x14ac:dyDescent="0.2">
      <c r="A34" s="20" t="s">
        <v>43</v>
      </c>
      <c r="C34" s="27"/>
      <c r="D34" s="27"/>
      <c r="E34" s="27"/>
      <c r="F34" s="27"/>
      <c r="G34" s="27"/>
      <c r="H34" s="3"/>
    </row>
    <row r="35" spans="1:8" x14ac:dyDescent="0.2">
      <c r="A35" s="20" t="s">
        <v>77</v>
      </c>
      <c r="C35" s="27">
        <f>IF(C30&gt;$I$11,(C30-$I$11)*$F$11,0)</f>
        <v>7409.9999999999982</v>
      </c>
      <c r="D35" s="27">
        <f t="shared" ref="D35:H35" si="11">IF(D30&gt;$I$11,(D30-$I$11)*$F$11,0)</f>
        <v>10996.050000000007</v>
      </c>
      <c r="E35" s="27">
        <f t="shared" si="11"/>
        <v>14689.681500000017</v>
      </c>
      <c r="F35" s="27">
        <f t="shared" si="11"/>
        <v>18494.121945000024</v>
      </c>
      <c r="G35" s="27">
        <f t="shared" si="11"/>
        <v>22412.695603350028</v>
      </c>
      <c r="H35" s="27">
        <f t="shared" si="11"/>
        <v>26448.826471450531</v>
      </c>
    </row>
    <row r="36" spans="1:8" x14ac:dyDescent="0.2">
      <c r="A36" s="20" t="s">
        <v>55</v>
      </c>
      <c r="C36" s="27">
        <f>IF(C30&gt;$I$12,(C30-$I$12)*$F$12,0)</f>
        <v>1620.0000000000014</v>
      </c>
      <c r="D36" s="27">
        <f t="shared" ref="D36:H36" si="12">IF(D30&gt;$I$12,(D30-$I$12)*$F$12,0)</f>
        <v>5343.9750000000095</v>
      </c>
      <c r="E36" s="27">
        <f t="shared" si="12"/>
        <v>9179.6692500000227</v>
      </c>
      <c r="F36" s="27">
        <f t="shared" si="12"/>
        <v>13130.43432750003</v>
      </c>
      <c r="G36" s="27">
        <f t="shared" si="12"/>
        <v>17199.722357325034</v>
      </c>
      <c r="H36" s="27">
        <f t="shared" si="12"/>
        <v>21391.089028044786</v>
      </c>
    </row>
    <row r="37" spans="1:8" ht="17" thickBot="1" x14ac:dyDescent="0.25">
      <c r="A37" s="22" t="s">
        <v>56</v>
      </c>
      <c r="B37" s="21"/>
      <c r="C37" s="25">
        <f>IF(C30&gt;$I$13,(C30-$I$13)*$F$13,0)</f>
        <v>0</v>
      </c>
      <c r="D37" s="25">
        <f t="shared" ref="D37:H37" si="13">IF(D30&gt;$I$13,(D30-$I$13)*$F$13,0)</f>
        <v>3723.9750000000081</v>
      </c>
      <c r="E37" s="25">
        <f t="shared" si="13"/>
        <v>7559.6692500000208</v>
      </c>
      <c r="F37" s="25">
        <f t="shared" si="13"/>
        <v>11510.434327500028</v>
      </c>
      <c r="G37" s="25">
        <f t="shared" si="13"/>
        <v>15579.72235732503</v>
      </c>
      <c r="H37" s="25">
        <f t="shared" si="13"/>
        <v>19771.089028044786</v>
      </c>
    </row>
    <row r="38" spans="1:8" ht="18" thickTop="1" thickBot="1" x14ac:dyDescent="0.25">
      <c r="A38" s="33" t="s">
        <v>79</v>
      </c>
      <c r="B38" s="34"/>
      <c r="C38" s="72">
        <f>SUM(C35:C37)</f>
        <v>9030</v>
      </c>
      <c r="D38" s="72">
        <f t="shared" ref="D38:H38" si="14">SUM(D35:D37)</f>
        <v>20064.000000000025</v>
      </c>
      <c r="E38" s="72">
        <f t="shared" si="14"/>
        <v>31429.020000000062</v>
      </c>
      <c r="F38" s="72">
        <f t="shared" si="14"/>
        <v>43134.990600000085</v>
      </c>
      <c r="G38" s="72">
        <f t="shared" si="14"/>
        <v>55192.140318000093</v>
      </c>
      <c r="H38" s="72">
        <f t="shared" si="14"/>
        <v>67611.004527540092</v>
      </c>
    </row>
    <row r="39" spans="1:8" ht="17" thickTop="1" x14ac:dyDescent="0.2">
      <c r="A39" s="18" t="s">
        <v>5</v>
      </c>
      <c r="C39" s="3">
        <f>SUM(C29,C33,C38)</f>
        <v>781268</v>
      </c>
      <c r="D39" s="3">
        <f t="shared" ref="D39:H39" si="15">SUM(D29,D33,D38)</f>
        <v>777350.9216</v>
      </c>
      <c r="E39" s="3">
        <f t="shared" si="15"/>
        <v>891715.43100500014</v>
      </c>
      <c r="F39" s="3">
        <f t="shared" si="15"/>
        <v>906187.68045291444</v>
      </c>
      <c r="G39" s="3">
        <f t="shared" si="15"/>
        <v>960758.38122381445</v>
      </c>
      <c r="H39" s="3">
        <f t="shared" si="15"/>
        <v>1093554.6174999988</v>
      </c>
    </row>
    <row r="40" spans="1:8" ht="17" thickBot="1" x14ac:dyDescent="0.25">
      <c r="A40" s="22" t="s">
        <v>80</v>
      </c>
      <c r="B40" s="21"/>
      <c r="C40" s="75">
        <f>$C$13</f>
        <v>-747338.61036682071</v>
      </c>
      <c r="D40" s="75">
        <f t="shared" ref="D40:G40" si="16">$C$13</f>
        <v>-747338.61036682071</v>
      </c>
      <c r="E40" s="75">
        <f t="shared" si="16"/>
        <v>-747338.61036682071</v>
      </c>
      <c r="F40" s="75">
        <f t="shared" si="16"/>
        <v>-747338.61036682071</v>
      </c>
      <c r="G40" s="75">
        <f t="shared" si="16"/>
        <v>-747338.61036682071</v>
      </c>
      <c r="H40" s="3"/>
    </row>
    <row r="41" spans="1:8" ht="17" thickTop="1" x14ac:dyDescent="0.2">
      <c r="A41" s="18" t="s">
        <v>16</v>
      </c>
      <c r="C41" s="3">
        <f>SUM(C39:C40)</f>
        <v>33929.389633179293</v>
      </c>
      <c r="D41" s="3">
        <f t="shared" ref="D41:G41" si="17">SUM(D39:D40)</f>
        <v>30012.311233179295</v>
      </c>
      <c r="E41" s="3">
        <f t="shared" si="17"/>
        <v>144376.82063817943</v>
      </c>
      <c r="F41" s="3">
        <f t="shared" si="17"/>
        <v>158849.07008609374</v>
      </c>
      <c r="G41" s="3">
        <f t="shared" si="17"/>
        <v>213419.77085699374</v>
      </c>
      <c r="H41" s="3"/>
    </row>
    <row r="42" spans="1:8" x14ac:dyDescent="0.2">
      <c r="A42" s="20" t="s">
        <v>17</v>
      </c>
      <c r="B42" s="28">
        <f>-B5</f>
        <v>-6002500</v>
      </c>
      <c r="C42" s="3">
        <f>C41</f>
        <v>33929.389633179293</v>
      </c>
      <c r="D42" s="3">
        <f t="shared" ref="D42:F42" si="18">D41</f>
        <v>30012.311233179295</v>
      </c>
      <c r="E42" s="3">
        <f t="shared" si="18"/>
        <v>144376.82063817943</v>
      </c>
      <c r="F42" s="3">
        <f t="shared" si="18"/>
        <v>158849.07008609374</v>
      </c>
      <c r="G42" s="3">
        <f>G41+C52</f>
        <v>11062613.019917702</v>
      </c>
      <c r="H42" s="3"/>
    </row>
    <row r="43" spans="1:8" x14ac:dyDescent="0.2">
      <c r="A43" s="20" t="s">
        <v>18</v>
      </c>
      <c r="B43" s="28">
        <f>-B2</f>
        <v>-17150000</v>
      </c>
      <c r="C43" s="3">
        <f>C39</f>
        <v>781268</v>
      </c>
      <c r="D43" s="3">
        <f t="shared" ref="D43:F43" si="19">D39</f>
        <v>777350.9216</v>
      </c>
      <c r="E43" s="3">
        <f t="shared" si="19"/>
        <v>891715.43100500014</v>
      </c>
      <c r="F43" s="3">
        <f t="shared" si="19"/>
        <v>906187.68045291444</v>
      </c>
      <c r="G43" s="3">
        <f>G39+C48+C49+C50</f>
        <v>21612118.62306099</v>
      </c>
      <c r="H43" s="3"/>
    </row>
    <row r="45" spans="1:8" ht="17" thickBot="1" x14ac:dyDescent="0.25"/>
    <row r="46" spans="1:8" x14ac:dyDescent="0.2">
      <c r="A46" s="39" t="s">
        <v>81</v>
      </c>
      <c r="B46" s="40"/>
      <c r="C46" s="41"/>
      <c r="F46" s="100" t="s">
        <v>60</v>
      </c>
      <c r="G46" s="101"/>
    </row>
    <row r="47" spans="1:8" x14ac:dyDescent="0.2">
      <c r="A47" s="42" t="s">
        <v>32</v>
      </c>
      <c r="B47" s="1"/>
      <c r="C47" s="16">
        <f>G6+B19</f>
        <v>4.8054985422740525E-2</v>
      </c>
      <c r="F47" s="7" t="s">
        <v>33</v>
      </c>
      <c r="G47" s="16">
        <f>IRR(B42:G42)</f>
        <v>0.13951449492434254</v>
      </c>
    </row>
    <row r="48" spans="1:8" ht="17" thickBot="1" x14ac:dyDescent="0.25">
      <c r="A48" s="42" t="s">
        <v>58</v>
      </c>
      <c r="B48" s="1"/>
      <c r="C48" s="11">
        <f>H39/C47</f>
        <v>22756319.825715899</v>
      </c>
      <c r="F48" s="9" t="s">
        <v>34</v>
      </c>
      <c r="G48" s="69">
        <f>IRR(B43:G43)</f>
        <v>8.4386042525097293E-2</v>
      </c>
    </row>
    <row r="49" spans="1:12" x14ac:dyDescent="0.2">
      <c r="A49" s="42" t="s">
        <v>19</v>
      </c>
      <c r="B49" s="35">
        <v>0.04</v>
      </c>
      <c r="C49" s="11">
        <f>-B49*C48</f>
        <v>-910252.79302863602</v>
      </c>
    </row>
    <row r="50" spans="1:12" x14ac:dyDescent="0.2">
      <c r="A50" s="42" t="s">
        <v>59</v>
      </c>
      <c r="B50" s="5">
        <v>5.2499999999999998E-2</v>
      </c>
      <c r="C50" s="11">
        <f>-B50*C48</f>
        <v>-1194706.7908500847</v>
      </c>
    </row>
    <row r="51" spans="1:12" x14ac:dyDescent="0.2">
      <c r="A51" s="42" t="s">
        <v>20</v>
      </c>
      <c r="B51" s="1"/>
      <c r="C51" s="10">
        <f>-B4-CUMPRINC(C8/12,C9*12,B4,C23,G23*12,0)</f>
        <v>-9802166.9927764684</v>
      </c>
    </row>
    <row r="52" spans="1:12" ht="17" thickBot="1" x14ac:dyDescent="0.25">
      <c r="A52" s="45" t="s">
        <v>45</v>
      </c>
      <c r="B52" s="6"/>
      <c r="C52" s="73">
        <f>SUM(C48:C51)</f>
        <v>10849193.249060709</v>
      </c>
    </row>
    <row r="54" spans="1:12" x14ac:dyDescent="0.2">
      <c r="G54" s="20" t="s">
        <v>88</v>
      </c>
      <c r="H54" s="20">
        <v>1</v>
      </c>
      <c r="I54" s="20">
        <v>2</v>
      </c>
      <c r="J54" s="20">
        <v>3</v>
      </c>
      <c r="K54" s="20">
        <v>4</v>
      </c>
      <c r="L54" s="20">
        <v>5</v>
      </c>
    </row>
    <row r="55" spans="1:12" ht="20" x14ac:dyDescent="0.2">
      <c r="A55" s="98" t="s">
        <v>61</v>
      </c>
      <c r="B55" s="99"/>
      <c r="C55" s="99"/>
      <c r="D55" s="99"/>
      <c r="E55" s="99"/>
      <c r="F55" s="99"/>
      <c r="G55" s="24"/>
      <c r="H55" s="24">
        <f>$C$39</f>
        <v>781268</v>
      </c>
      <c r="I55" s="24">
        <f>$D$39</f>
        <v>777350.9216</v>
      </c>
      <c r="J55" s="24">
        <f>$E$39</f>
        <v>891715.43100500014</v>
      </c>
      <c r="K55" s="24">
        <f>$F$39</f>
        <v>906187.68045291444</v>
      </c>
      <c r="L55" s="24">
        <f>$G$39</f>
        <v>960758.38122381445</v>
      </c>
    </row>
    <row r="56" spans="1:12" ht="20" x14ac:dyDescent="0.2">
      <c r="A56" s="98" t="s">
        <v>62</v>
      </c>
      <c r="B56" s="99"/>
      <c r="C56" s="99"/>
      <c r="D56" s="99"/>
      <c r="E56" s="99"/>
      <c r="F56" s="99"/>
      <c r="G56" s="5">
        <f>G7</f>
        <v>0.98360655737704916</v>
      </c>
    </row>
    <row r="57" spans="1:12" ht="20" x14ac:dyDescent="0.2">
      <c r="A57" s="98" t="s">
        <v>63</v>
      </c>
      <c r="B57" s="99"/>
      <c r="C57" s="99"/>
      <c r="D57" s="99"/>
      <c r="E57" s="99"/>
      <c r="F57" s="99"/>
      <c r="G57" s="76">
        <f>_xlfn.RRI(5,C39,G39)</f>
        <v>4.2228222070671118E-2</v>
      </c>
    </row>
    <row r="58" spans="1:12" ht="20" x14ac:dyDescent="0.2">
      <c r="A58" s="98" t="s">
        <v>64</v>
      </c>
      <c r="B58" s="99"/>
      <c r="C58" s="99"/>
      <c r="D58" s="99"/>
      <c r="E58" s="99"/>
      <c r="F58" s="99"/>
      <c r="G58" s="1"/>
      <c r="H58" s="4">
        <f>C41</f>
        <v>33929.389633179293</v>
      </c>
      <c r="I58" s="4">
        <f>D41</f>
        <v>30012.311233179295</v>
      </c>
      <c r="J58" s="4">
        <f>E41</f>
        <v>144376.82063817943</v>
      </c>
      <c r="K58" s="4">
        <f>F41</f>
        <v>158849.07008609374</v>
      </c>
      <c r="L58" s="4">
        <f>G41</f>
        <v>213419.77085699374</v>
      </c>
    </row>
    <row r="59" spans="1:12" ht="20" x14ac:dyDescent="0.2">
      <c r="A59" s="98" t="s">
        <v>65</v>
      </c>
      <c r="B59" s="99"/>
      <c r="C59" s="99"/>
      <c r="D59" s="99"/>
      <c r="E59" s="99"/>
      <c r="F59" s="99"/>
      <c r="G59" s="5">
        <f>G6</f>
        <v>4.5554985422740522E-2</v>
      </c>
    </row>
    <row r="60" spans="1:12" ht="20" x14ac:dyDescent="0.2">
      <c r="A60" s="98" t="s">
        <v>66</v>
      </c>
      <c r="B60" s="99"/>
      <c r="C60" s="99"/>
      <c r="D60" s="99"/>
      <c r="E60" s="99"/>
      <c r="F60" s="99"/>
      <c r="G60" s="4">
        <f>C48</f>
        <v>22756319.825715899</v>
      </c>
    </row>
    <row r="61" spans="1:12" ht="20" x14ac:dyDescent="0.2">
      <c r="A61" s="98" t="s">
        <v>67</v>
      </c>
      <c r="B61" s="99"/>
      <c r="C61" s="99"/>
      <c r="D61" s="99"/>
      <c r="E61" s="99"/>
      <c r="F61" s="99"/>
      <c r="G61" s="4">
        <f>C52</f>
        <v>10849193.249060709</v>
      </c>
    </row>
    <row r="62" spans="1:12" ht="20" x14ac:dyDescent="0.2">
      <c r="A62" s="98" t="s">
        <v>68</v>
      </c>
      <c r="B62" s="99"/>
      <c r="C62" s="99"/>
      <c r="D62" s="99"/>
      <c r="E62" s="99"/>
      <c r="F62" s="99"/>
      <c r="G62" s="76">
        <f>G47</f>
        <v>0.13951449492434254</v>
      </c>
    </row>
    <row r="63" spans="1:12" ht="20" x14ac:dyDescent="0.2">
      <c r="A63" s="98" t="s">
        <v>69</v>
      </c>
      <c r="B63" s="99"/>
      <c r="C63" s="99"/>
      <c r="D63" s="99"/>
      <c r="E63" s="99"/>
      <c r="F63" s="99"/>
      <c r="G63" s="76">
        <f>G48</f>
        <v>8.4386042525097293E-2</v>
      </c>
    </row>
    <row r="64" spans="1:12" ht="20" x14ac:dyDescent="0.2">
      <c r="A64" s="98" t="s">
        <v>70</v>
      </c>
      <c r="B64" s="99"/>
      <c r="C64" s="99"/>
      <c r="D64" s="99"/>
      <c r="E64" s="99"/>
      <c r="F64" s="99"/>
      <c r="G64" s="2" t="s">
        <v>89</v>
      </c>
    </row>
  </sheetData>
  <mergeCells count="24">
    <mergeCell ref="A64:F64"/>
    <mergeCell ref="F46:G46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22:H22"/>
    <mergeCell ref="L1:M1"/>
    <mergeCell ref="L9:M9"/>
    <mergeCell ref="E5:F5"/>
    <mergeCell ref="E6:F6"/>
    <mergeCell ref="E7:F7"/>
    <mergeCell ref="A7:C7"/>
    <mergeCell ref="A15:B15"/>
    <mergeCell ref="E1:G1"/>
    <mergeCell ref="A8:B8"/>
    <mergeCell ref="A9:B9"/>
    <mergeCell ref="A13:B13"/>
    <mergeCell ref="G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 Donnell</dc:creator>
  <cp:lastModifiedBy>Kylie Donnell</cp:lastModifiedBy>
  <dcterms:created xsi:type="dcterms:W3CDTF">2024-01-18T23:02:54Z</dcterms:created>
  <dcterms:modified xsi:type="dcterms:W3CDTF">2024-03-27T14:12:16Z</dcterms:modified>
</cp:coreProperties>
</file>